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uccireland-my.sharepoint.com/personal/shon_shiju_ucc_ie/Documents/Project Tracker_CircBioCityWaste MTU/Publications/Article 1 - Ultrasound aided HS extraction optimisation (DOE)/Submission/Submitted/ULTSON-D-25-01042/Revision 1/"/>
    </mc:Choice>
  </mc:AlternateContent>
  <xr:revisionPtr revIDLastSave="263" documentId="11_14FD5A69CE63596BF99274ED51677804B21DBE78" xr6:coauthVersionLast="47" xr6:coauthVersionMax="47" xr10:uidLastSave="{3EB7DF4E-80B4-4CE9-B597-DBBE07F01A43}"/>
  <bookViews>
    <workbookView xWindow="-120" yWindow="-120" windowWidth="29040" windowHeight="17520" tabRatio="795" xr2:uid="{00000000-000D-0000-FFFF-FFFF00000000}"/>
  </bookViews>
  <sheets>
    <sheet name="Table S1" sheetId="17" r:id="rId1"/>
    <sheet name="Table S2" sheetId="19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17" l="1"/>
  <c r="H12" i="17" s="1"/>
  <c r="S11" i="17"/>
  <c r="S13" i="17"/>
  <c r="S12" i="17"/>
  <c r="O47" i="17"/>
  <c r="M47" i="17"/>
  <c r="K14" i="19"/>
  <c r="C21" i="19"/>
  <c r="N5" i="19"/>
  <c r="L5" i="19" s="1"/>
  <c r="N6" i="19"/>
  <c r="L6" i="19" s="1"/>
  <c r="N8" i="19"/>
  <c r="N9" i="19"/>
  <c r="L9" i="19" s="1"/>
  <c r="C29" i="19"/>
  <c r="N27" i="19" s="1"/>
  <c r="C24" i="19"/>
  <c r="C25" i="19" s="1"/>
  <c r="C23" i="19"/>
  <c r="G13" i="19"/>
  <c r="G12" i="19"/>
  <c r="G11" i="19"/>
  <c r="L8" i="19"/>
  <c r="C7" i="19"/>
  <c r="C8" i="19" s="1"/>
  <c r="Q12" i="19" s="1"/>
  <c r="B47" i="17"/>
  <c r="D47" i="17"/>
  <c r="H13" i="17" l="1"/>
  <c r="K20" i="19"/>
  <c r="Q14" i="19"/>
  <c r="K12" i="19"/>
  <c r="K18" i="19" s="1"/>
  <c r="G14" i="19"/>
  <c r="C12" i="19" s="1"/>
  <c r="C13" i="19" s="1"/>
  <c r="C14" i="19" s="1"/>
  <c r="Q20" i="19"/>
  <c r="Q18" i="19"/>
  <c r="Q13" i="19" l="1"/>
  <c r="Q19" i="19" s="1"/>
  <c r="N24" i="19" s="1"/>
  <c r="Q15" i="19"/>
  <c r="Q21" i="19" s="1"/>
  <c r="N25" i="19" s="1"/>
</calcChain>
</file>

<file path=xl/sharedStrings.xml><?xml version="1.0" encoding="utf-8"?>
<sst xmlns="http://schemas.openxmlformats.org/spreadsheetml/2006/main" count="457" uniqueCount="137">
  <si>
    <t>Sewage sludge production and disposal [env_ww_spd__custom_13058573]</t>
  </si>
  <si>
    <t>05/07/2024 23:00</t>
  </si>
  <si>
    <t>Time frequency</t>
  </si>
  <si>
    <t>Wastewater treatment plant parameters</t>
  </si>
  <si>
    <t>Wastewater treatment plants</t>
  </si>
  <si>
    <t>Unit of measure</t>
  </si>
  <si>
    <t>Annual</t>
  </si>
  <si>
    <t>Thousand tonnes</t>
  </si>
  <si>
    <t>Belgium</t>
  </si>
  <si>
    <t>Bulgaria</t>
  </si>
  <si>
    <t>Czechia</t>
  </si>
  <si>
    <t>Denmark</t>
  </si>
  <si>
    <t>Germany</t>
  </si>
  <si>
    <t>Estonia</t>
  </si>
  <si>
    <t>Ireland</t>
  </si>
  <si>
    <t>Greece</t>
  </si>
  <si>
    <t>Spain</t>
  </si>
  <si>
    <t>France</t>
  </si>
  <si>
    <t>Croatia</t>
  </si>
  <si>
    <t>Italy</t>
  </si>
  <si>
    <t>Cyprus</t>
  </si>
  <si>
    <t>Latvia</t>
  </si>
  <si>
    <t>Lithuania</t>
  </si>
  <si>
    <t>Luxembourg</t>
  </si>
  <si>
    <t>Hungary</t>
  </si>
  <si>
    <t>Malta</t>
  </si>
  <si>
    <t>Netherlands</t>
  </si>
  <si>
    <t>Austria</t>
  </si>
  <si>
    <t>Poland</t>
  </si>
  <si>
    <t>Portugal</t>
  </si>
  <si>
    <t>Romania</t>
  </si>
  <si>
    <t>Slovenia</t>
  </si>
  <si>
    <t>Slovakia</t>
  </si>
  <si>
    <t>Finland</t>
  </si>
  <si>
    <t>Sweden</t>
  </si>
  <si>
    <t>Iceland</t>
  </si>
  <si>
    <t>Norway</t>
  </si>
  <si>
    <t>Switzerland</t>
  </si>
  <si>
    <t>United Kingdom</t>
  </si>
  <si>
    <t>Bosnia and Herzegovina</t>
  </si>
  <si>
    <t>Albania</t>
  </si>
  <si>
    <t>Serbia</t>
  </si>
  <si>
    <t>Türkiye</t>
  </si>
  <si>
    <t>2022</t>
  </si>
  <si>
    <t>Data extracted on 29/09/2024 13:06:25 from [ESTAT]</t>
  </si>
  <si>
    <t xml:space="preserve">Dataset: </t>
  </si>
  <si>
    <t xml:space="preserve">Last updated: </t>
  </si>
  <si>
    <t>TIME</t>
  </si>
  <si>
    <t/>
  </si>
  <si>
    <t>GEO (Labels)</t>
  </si>
  <si>
    <t>:</t>
  </si>
  <si>
    <t>e</t>
  </si>
  <si>
    <t>Special value</t>
  </si>
  <si>
    <t>not available</t>
  </si>
  <si>
    <t>Available flags:</t>
  </si>
  <si>
    <t>estimated</t>
  </si>
  <si>
    <t>Sludge production - NET TOTAL (URBAN + OTHER)</t>
  </si>
  <si>
    <t>ALL wastewater treatment plants - total</t>
  </si>
  <si>
    <t xml:space="preserve">Net sludge proudction </t>
  </si>
  <si>
    <t>Urban</t>
  </si>
  <si>
    <t>Other</t>
  </si>
  <si>
    <t>tonnes</t>
  </si>
  <si>
    <t>thousand tonnes</t>
  </si>
  <si>
    <t>million tonnes</t>
  </si>
  <si>
    <t xml:space="preserve">Consumables </t>
  </si>
  <si>
    <t>Extraction</t>
  </si>
  <si>
    <t xml:space="preserve">Weight of KOH - for 200 ml 0.1M KOH as extractant </t>
  </si>
  <si>
    <t>CE</t>
  </si>
  <si>
    <t>Yield 
(200ml KOH)</t>
  </si>
  <si>
    <t>Yield (per g feed)</t>
  </si>
  <si>
    <t xml:space="preserve">Energy </t>
  </si>
  <si>
    <t>HA</t>
  </si>
  <si>
    <t xml:space="preserve">g </t>
  </si>
  <si>
    <t>kWh</t>
  </si>
  <si>
    <t xml:space="preserve">Strength of solution </t>
  </si>
  <si>
    <t>mol L-1 (M)</t>
  </si>
  <si>
    <t>FA</t>
  </si>
  <si>
    <t xml:space="preserve">Volume of solution </t>
  </si>
  <si>
    <t>L</t>
  </si>
  <si>
    <t>Moles of KOH</t>
  </si>
  <si>
    <t xml:space="preserve">mol </t>
  </si>
  <si>
    <t>UAE</t>
  </si>
  <si>
    <t>Mass of KOH</t>
  </si>
  <si>
    <t>g</t>
  </si>
  <si>
    <t xml:space="preserve">Weight of HCL - for 200 ml 0.1M KOH as extractant </t>
  </si>
  <si>
    <t>Energy intensity (EI)</t>
  </si>
  <si>
    <t>Chemical intensity (CI)</t>
  </si>
  <si>
    <t>Volume of HCl</t>
  </si>
  <si>
    <t>CE-HA</t>
  </si>
  <si>
    <t>CE-KOH-HA</t>
  </si>
  <si>
    <t>CE-HCl-HA</t>
  </si>
  <si>
    <t>Moles of HCl</t>
  </si>
  <si>
    <t>Mass of HCl</t>
  </si>
  <si>
    <t>Avg</t>
  </si>
  <si>
    <t>UAE-HA</t>
  </si>
  <si>
    <t>UAE-KOH-HA</t>
  </si>
  <si>
    <t>UAE-HCl-HA</t>
  </si>
  <si>
    <t>Electricitiy (commercial)</t>
  </si>
  <si>
    <r>
      <t>€ kWh</t>
    </r>
    <r>
      <rPr>
        <vertAlign val="superscript"/>
        <sz val="11"/>
        <color theme="1"/>
        <rFont val="Aptos Narrow"/>
        <family val="2"/>
        <scheme val="minor"/>
      </rPr>
      <t>-1</t>
    </r>
  </si>
  <si>
    <t>2025 Eurostat</t>
  </si>
  <si>
    <r>
      <t>€ kg</t>
    </r>
    <r>
      <rPr>
        <vertAlign val="superscript"/>
        <sz val="11"/>
        <color theme="1"/>
        <rFont val="Aptos Narrow"/>
        <family val="2"/>
        <scheme val="minor"/>
      </rPr>
      <t>-1</t>
    </r>
  </si>
  <si>
    <t>221473 - Sigma</t>
  </si>
  <si>
    <r>
      <t>€ g</t>
    </r>
    <r>
      <rPr>
        <b/>
        <vertAlign val="superscript"/>
        <sz val="11"/>
        <color theme="1"/>
        <rFont val="Aptos Narrow"/>
        <family val="2"/>
        <scheme val="minor"/>
      </rPr>
      <t>-1</t>
    </r>
  </si>
  <si>
    <r>
      <t>€ 2.5L</t>
    </r>
    <r>
      <rPr>
        <vertAlign val="superscript"/>
        <sz val="11"/>
        <color theme="1"/>
        <rFont val="Aptos Narrow"/>
        <family val="2"/>
        <scheme val="minor"/>
      </rPr>
      <t>-1</t>
    </r>
  </si>
  <si>
    <t>258148 - Sigma</t>
  </si>
  <si>
    <t>€ L-1</t>
  </si>
  <si>
    <t>Standard Na-HA</t>
  </si>
  <si>
    <t>€ 100 g-1</t>
  </si>
  <si>
    <t xml:space="preserve">CE - HA </t>
  </si>
  <si>
    <t>€ kg-1  HA</t>
  </si>
  <si>
    <t>UAE - HA</t>
  </si>
  <si>
    <t>Note: produces FA as well on the same extraction</t>
  </si>
  <si>
    <t>STD - HA</t>
  </si>
  <si>
    <r>
      <t>€ kg</t>
    </r>
    <r>
      <rPr>
        <vertAlign val="superscript"/>
        <sz val="11"/>
        <color theme="1"/>
        <rFont val="Aptos Narrow"/>
        <family val="2"/>
        <scheme val="minor"/>
      </rPr>
      <t xml:space="preserve">-1 </t>
    </r>
    <r>
      <rPr>
        <sz val="11"/>
        <color indexed="8"/>
        <rFont val="Aptos Narrow"/>
        <family val="2"/>
        <scheme val="minor"/>
      </rPr>
      <t>HA</t>
    </r>
  </si>
  <si>
    <t>H16752- Sigma</t>
  </si>
  <si>
    <r>
      <t>g g</t>
    </r>
    <r>
      <rPr>
        <vertAlign val="superscript"/>
        <sz val="10"/>
        <color theme="1"/>
        <rFont val="Calibri "/>
      </rPr>
      <t>-1</t>
    </r>
    <r>
      <rPr>
        <vertAlign val="subscript"/>
        <sz val="10"/>
        <color theme="1"/>
        <rFont val="Calibri "/>
      </rPr>
      <t>db</t>
    </r>
  </si>
  <si>
    <t>Energy cost (Cenergy)</t>
  </si>
  <si>
    <r>
      <t>Chemical cost (C</t>
    </r>
    <r>
      <rPr>
        <b/>
        <vertAlign val="subscript"/>
        <sz val="11"/>
        <color theme="1"/>
        <rFont val="Aptos Narrow"/>
        <family val="2"/>
        <scheme val="minor"/>
      </rPr>
      <t>chem</t>
    </r>
    <r>
      <rPr>
        <b/>
        <sz val="11"/>
        <color theme="1"/>
        <rFont val="Aptos Narrow"/>
        <family val="2"/>
        <scheme val="minor"/>
      </rPr>
      <t>)</t>
    </r>
  </si>
  <si>
    <r>
      <t>Total cost = C</t>
    </r>
    <r>
      <rPr>
        <b/>
        <vertAlign val="subscript"/>
        <sz val="11"/>
        <color theme="1"/>
        <rFont val="Aptos Narrow"/>
        <family val="2"/>
        <scheme val="minor"/>
      </rPr>
      <t xml:space="preserve">energy </t>
    </r>
    <r>
      <rPr>
        <b/>
        <sz val="11"/>
        <color theme="1"/>
        <rFont val="Aptos Narrow"/>
        <family val="2"/>
        <scheme val="minor"/>
      </rPr>
      <t>+ C</t>
    </r>
    <r>
      <rPr>
        <b/>
        <vertAlign val="subscript"/>
        <sz val="11"/>
        <color theme="1"/>
        <rFont val="Aptos Narrow"/>
        <family val="2"/>
        <scheme val="minor"/>
      </rPr>
      <t xml:space="preserve">chem(KOH) </t>
    </r>
    <r>
      <rPr>
        <b/>
        <sz val="11"/>
        <color theme="1"/>
        <rFont val="Aptos Narrow"/>
        <family val="2"/>
        <scheme val="minor"/>
      </rPr>
      <t>+ C</t>
    </r>
    <r>
      <rPr>
        <b/>
        <vertAlign val="subscript"/>
        <sz val="11"/>
        <color theme="1"/>
        <rFont val="Aptos Narrow"/>
        <family val="2"/>
        <scheme val="minor"/>
      </rPr>
      <t>chem(HCl)</t>
    </r>
  </si>
  <si>
    <t>Reference cost</t>
  </si>
  <si>
    <t xml:space="preserve">Consumable cost  </t>
  </si>
  <si>
    <t>Standard HA cost</t>
  </si>
  <si>
    <r>
      <t>kWh g</t>
    </r>
    <r>
      <rPr>
        <vertAlign val="superscript"/>
        <sz val="11"/>
        <color theme="1"/>
        <rFont val="Aptos Narrow"/>
        <family val="2"/>
        <scheme val="minor"/>
      </rPr>
      <t xml:space="preserve">-1 </t>
    </r>
    <r>
      <rPr>
        <sz val="11"/>
        <color theme="1"/>
        <rFont val="Aptos Narrow"/>
        <family val="2"/>
        <scheme val="minor"/>
      </rPr>
      <t>HA</t>
    </r>
  </si>
  <si>
    <r>
      <t>g KOH g</t>
    </r>
    <r>
      <rPr>
        <vertAlign val="superscript"/>
        <sz val="11"/>
        <color theme="1"/>
        <rFont val="Aptos Narrow"/>
        <family val="2"/>
        <scheme val="minor"/>
      </rPr>
      <t xml:space="preserve">-1 </t>
    </r>
    <r>
      <rPr>
        <sz val="11"/>
        <color theme="1"/>
        <rFont val="Aptos Narrow"/>
        <family val="2"/>
        <scheme val="minor"/>
      </rPr>
      <t>HA</t>
    </r>
  </si>
  <si>
    <r>
      <t>g HCl g</t>
    </r>
    <r>
      <rPr>
        <vertAlign val="superscript"/>
        <sz val="11"/>
        <color theme="1"/>
        <rFont val="Aptos Narrow"/>
        <family val="2"/>
        <scheme val="minor"/>
      </rPr>
      <t xml:space="preserve">-1 </t>
    </r>
    <r>
      <rPr>
        <sz val="11"/>
        <color theme="1"/>
        <rFont val="Aptos Narrow"/>
        <family val="2"/>
        <scheme val="minor"/>
      </rPr>
      <t>HA</t>
    </r>
  </si>
  <si>
    <r>
      <t>€ kg</t>
    </r>
    <r>
      <rPr>
        <vertAlign val="superscript"/>
        <sz val="11"/>
        <color theme="1"/>
        <rFont val="Aptos Narrow"/>
        <family val="2"/>
        <scheme val="minor"/>
      </rPr>
      <t xml:space="preserve">-1 </t>
    </r>
    <r>
      <rPr>
        <sz val="11"/>
        <color theme="1"/>
        <rFont val="Aptos Narrow"/>
        <family val="2"/>
        <scheme val="minor"/>
      </rPr>
      <t xml:space="preserve"> HA </t>
    </r>
  </si>
  <si>
    <r>
      <t>€ kg</t>
    </r>
    <r>
      <rPr>
        <vertAlign val="superscript"/>
        <sz val="11"/>
        <color theme="1"/>
        <rFont val="Aptos Narrow"/>
        <family val="2"/>
        <scheme val="minor"/>
      </rPr>
      <t>−1</t>
    </r>
    <r>
      <rPr>
        <sz val="11"/>
        <color theme="1"/>
        <rFont val="Aptos Narrow"/>
        <family val="2"/>
        <scheme val="minor"/>
      </rPr>
      <t> HA</t>
    </r>
  </si>
  <si>
    <t xml:space="preserve">Energy and cost calculations for product-normalised quantities from CE &amp; UAE </t>
  </si>
  <si>
    <t xml:space="preserve">HCl  </t>
  </si>
  <si>
    <t xml:space="preserve">KOH  </t>
  </si>
  <si>
    <t>Sludge disposal - compost and other applications</t>
  </si>
  <si>
    <t>Urban + Other wastewater treatment plants - total</t>
  </si>
  <si>
    <t>Tonnes</t>
  </si>
  <si>
    <t>Million tonnes</t>
  </si>
  <si>
    <t xml:space="preserve">URBAN </t>
  </si>
  <si>
    <t>Other WWTP</t>
  </si>
  <si>
    <t>Sludge disposal - compost and 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</si>
</sst>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##########"/>
    <numFmt numFmtId="165" formatCode="0.0000"/>
  </numFmts>
  <fonts count="22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b/>
      <vertAlign val="subscript"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vertAlign val="superscript"/>
      <sz val="10"/>
      <color theme="1"/>
      <name val="Calibri "/>
    </font>
    <font>
      <vertAlign val="subscript"/>
      <sz val="10"/>
      <color theme="1"/>
      <name val="Calibri "/>
    </font>
    <font>
      <b/>
      <sz val="11"/>
      <color indexed="8"/>
      <name val="Aptos Narrow"/>
      <family val="2"/>
      <scheme val="minor"/>
    </font>
    <font>
      <sz val="9"/>
      <name val="Arial"/>
    </font>
    <font>
      <b/>
      <sz val="9"/>
      <name val="Arial"/>
    </font>
    <font>
      <b/>
      <sz val="9"/>
      <color indexed="9"/>
      <name val="Arial"/>
    </font>
  </fonts>
  <fills count="11">
    <fill>
      <patternFill patternType="none"/>
    </fill>
    <fill>
      <patternFill patternType="gray125"/>
    </fill>
    <fill>
      <patternFill patternType="solid">
        <fgColor rgb="FF4669AF"/>
      </patternFill>
    </fill>
    <fill>
      <patternFill patternType="solid">
        <fgColor rgb="FF0096DC"/>
      </patternFill>
    </fill>
    <fill>
      <patternFill patternType="solid">
        <fgColor rgb="FFDCE6F1"/>
      </patternFill>
    </fill>
    <fill>
      <patternFill patternType="mediumGray">
        <bgColor indexed="22"/>
      </patternFill>
    </fill>
    <fill>
      <patternFill patternType="solid">
        <fgColor rgb="FFF6F6F6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00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0" fillId="5" borderId="0" xfId="0" applyFill="1"/>
    <xf numFmtId="3" fontId="5" fillId="0" borderId="0" xfId="0" applyNumberFormat="1" applyFont="1" applyAlignment="1">
      <alignment horizontal="right" vertical="center" shrinkToFit="1"/>
    </xf>
    <xf numFmtId="3" fontId="5" fillId="6" borderId="0" xfId="0" applyNumberFormat="1" applyFont="1" applyFill="1" applyAlignment="1">
      <alignment horizontal="right" vertical="center" shrinkToFit="1"/>
    </xf>
    <xf numFmtId="164" fontId="5" fillId="0" borderId="0" xfId="0" applyNumberFormat="1" applyFont="1" applyAlignment="1">
      <alignment horizontal="right" vertical="center" shrinkToFit="1"/>
    </xf>
    <xf numFmtId="164" fontId="5" fillId="6" borderId="0" xfId="0" applyNumberFormat="1" applyFont="1" applyFill="1" applyAlignment="1">
      <alignment horizontal="right" vertical="center" shrinkToFit="1"/>
    </xf>
    <xf numFmtId="4" fontId="5" fillId="0" borderId="0" xfId="0" applyNumberFormat="1" applyFont="1" applyAlignment="1">
      <alignment horizontal="right" vertical="center" shrinkToFit="1"/>
    </xf>
    <xf numFmtId="4" fontId="5" fillId="6" borderId="0" xfId="0" applyNumberFormat="1" applyFont="1" applyFill="1" applyAlignment="1">
      <alignment horizontal="right" vertical="center" shrinkToFit="1"/>
    </xf>
    <xf numFmtId="0" fontId="7" fillId="7" borderId="0" xfId="0" applyFont="1" applyFill="1" applyAlignment="1">
      <alignment horizontal="left" vertical="center"/>
    </xf>
    <xf numFmtId="0" fontId="0" fillId="7" borderId="0" xfId="0" applyFill="1"/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0" fontId="10" fillId="0" borderId="0" xfId="0" applyFont="1"/>
    <xf numFmtId="0" fontId="9" fillId="0" borderId="0" xfId="0" applyFont="1"/>
    <xf numFmtId="0" fontId="0" fillId="0" borderId="3" xfId="0" applyBorder="1"/>
    <xf numFmtId="2" fontId="0" fillId="0" borderId="0" xfId="0" applyNumberFormat="1"/>
    <xf numFmtId="0" fontId="0" fillId="0" borderId="5" xfId="0" applyBorder="1"/>
    <xf numFmtId="0" fontId="0" fillId="0" borderId="7" xfId="0" applyBorder="1"/>
    <xf numFmtId="0" fontId="0" fillId="0" borderId="6" xfId="0" applyBorder="1"/>
    <xf numFmtId="2" fontId="0" fillId="0" borderId="7" xfId="0" applyNumberFormat="1" applyBorder="1"/>
    <xf numFmtId="0" fontId="9" fillId="0" borderId="4" xfId="0" applyFont="1" applyBorder="1"/>
    <xf numFmtId="0" fontId="9" fillId="0" borderId="5" xfId="0" applyFont="1" applyBorder="1"/>
    <xf numFmtId="0" fontId="0" fillId="0" borderId="4" xfId="0" applyBorder="1"/>
    <xf numFmtId="165" fontId="9" fillId="0" borderId="0" xfId="0" applyNumberFormat="1" applyFont="1"/>
    <xf numFmtId="0" fontId="8" fillId="0" borderId="0" xfId="1" applyBorder="1"/>
    <xf numFmtId="0" fontId="8" fillId="0" borderId="0" xfId="1" applyBorder="1" applyAlignment="1">
      <alignment horizontal="center" vertical="center" wrapText="1"/>
    </xf>
    <xf numFmtId="0" fontId="8" fillId="0" borderId="5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4" fillId="0" borderId="0" xfId="0" applyFont="1"/>
    <xf numFmtId="0" fontId="9" fillId="0" borderId="11" xfId="0" applyFont="1" applyBorder="1"/>
    <xf numFmtId="0" fontId="9" fillId="0" borderId="0" xfId="0" applyFont="1" applyAlignment="1">
      <alignment horizontal="center" vertical="center"/>
    </xf>
    <xf numFmtId="0" fontId="3" fillId="0" borderId="0" xfId="0" applyFont="1"/>
    <xf numFmtId="0" fontId="0" fillId="8" borderId="4" xfId="0" applyFill="1" applyBorder="1"/>
    <xf numFmtId="0" fontId="9" fillId="8" borderId="0" xfId="0" applyFont="1" applyFill="1"/>
    <xf numFmtId="0" fontId="0" fillId="8" borderId="0" xfId="0" applyFill="1"/>
    <xf numFmtId="0" fontId="0" fillId="9" borderId="0" xfId="0" applyFill="1"/>
    <xf numFmtId="0" fontId="9" fillId="9" borderId="0" xfId="0" applyFont="1" applyFill="1"/>
    <xf numFmtId="0" fontId="0" fillId="9" borderId="5" xfId="0" applyFill="1" applyBorder="1"/>
    <xf numFmtId="0" fontId="0" fillId="0" borderId="11" xfId="0" applyBorder="1"/>
    <xf numFmtId="2" fontId="0" fillId="0" borderId="11" xfId="0" applyNumberFormat="1" applyBorder="1"/>
    <xf numFmtId="0" fontId="0" fillId="0" borderId="2" xfId="0" applyBorder="1"/>
    <xf numFmtId="0" fontId="0" fillId="0" borderId="12" xfId="0" applyBorder="1"/>
    <xf numFmtId="2" fontId="0" fillId="0" borderId="12" xfId="0" applyNumberFormat="1" applyBorder="1"/>
    <xf numFmtId="0" fontId="15" fillId="0" borderId="0" xfId="0" applyFont="1" applyAlignment="1">
      <alignment vertical="center"/>
    </xf>
    <xf numFmtId="0" fontId="15" fillId="0" borderId="5" xfId="0" applyFont="1" applyBorder="1" applyAlignment="1">
      <alignment vertical="center"/>
    </xf>
    <xf numFmtId="0" fontId="2" fillId="0" borderId="4" xfId="0" applyFont="1" applyBorder="1"/>
    <xf numFmtId="165" fontId="2" fillId="0" borderId="0" xfId="0" applyNumberFormat="1" applyFont="1"/>
    <xf numFmtId="0" fontId="2" fillId="0" borderId="0" xfId="0" applyFont="1"/>
    <xf numFmtId="165" fontId="0" fillId="0" borderId="0" xfId="0" applyNumberFormat="1"/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2" borderId="1" xfId="0" applyFont="1" applyFill="1" applyBorder="1" applyAlignment="1">
      <alignment horizontal="right" vertical="center"/>
    </xf>
    <xf numFmtId="0" fontId="20" fillId="3" borderId="1" xfId="0" applyFont="1" applyFill="1" applyBorder="1" applyAlignment="1">
      <alignment horizontal="left" vertical="center"/>
    </xf>
    <xf numFmtId="0" fontId="20" fillId="4" borderId="1" xfId="0" applyFont="1" applyFill="1" applyBorder="1" applyAlignment="1">
      <alignment horizontal="left" vertical="center"/>
    </xf>
    <xf numFmtId="4" fontId="19" fillId="6" borderId="0" xfId="0" applyNumberFormat="1" applyFont="1" applyFill="1" applyAlignment="1">
      <alignment horizontal="right" vertical="center" shrinkToFit="1"/>
    </xf>
    <xf numFmtId="3" fontId="19" fillId="6" borderId="0" xfId="0" applyNumberFormat="1" applyFont="1" applyFill="1" applyAlignment="1">
      <alignment horizontal="right" vertical="center" shrinkToFit="1"/>
    </xf>
    <xf numFmtId="3" fontId="19" fillId="0" borderId="0" xfId="0" applyNumberFormat="1" applyFont="1" applyAlignment="1">
      <alignment horizontal="right" vertical="center" shrinkToFit="1"/>
    </xf>
    <xf numFmtId="164" fontId="19" fillId="6" borderId="0" xfId="0" applyNumberFormat="1" applyFont="1" applyFill="1" applyAlignment="1">
      <alignment horizontal="right" vertical="center" shrinkToFit="1"/>
    </xf>
    <xf numFmtId="164" fontId="19" fillId="0" borderId="0" xfId="0" applyNumberFormat="1" applyFont="1" applyAlignment="1">
      <alignment horizontal="right" vertical="center" shrinkToFit="1"/>
    </xf>
    <xf numFmtId="4" fontId="19" fillId="0" borderId="0" xfId="0" applyNumberFormat="1" applyFont="1" applyAlignment="1">
      <alignment horizontal="right" vertical="center" shrinkToFit="1"/>
    </xf>
    <xf numFmtId="4" fontId="18" fillId="0" borderId="0" xfId="0" applyNumberFormat="1" applyFont="1"/>
    <xf numFmtId="0" fontId="18" fillId="0" borderId="0" xfId="0" applyFont="1"/>
    <xf numFmtId="3" fontId="18" fillId="0" borderId="0" xfId="0" applyNumberFormat="1" applyFont="1"/>
    <xf numFmtId="0" fontId="4" fillId="7" borderId="0" xfId="0" applyFont="1" applyFill="1" applyAlignment="1">
      <alignment horizontal="left" vertical="center"/>
    </xf>
    <xf numFmtId="0" fontId="5" fillId="7" borderId="0" xfId="0" applyFont="1" applyFill="1" applyAlignment="1">
      <alignment horizontal="left" vertical="center"/>
    </xf>
    <xf numFmtId="165" fontId="0" fillId="0" borderId="4" xfId="0" applyNumberFormat="1" applyBorder="1"/>
    <xf numFmtId="165" fontId="0" fillId="0" borderId="6" xfId="0" applyNumberFormat="1" applyBorder="1"/>
    <xf numFmtId="0" fontId="18" fillId="0" borderId="8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6" fillId="2" borderId="1" xfId="0" applyFont="1" applyFill="1" applyBorder="1" applyAlignment="1">
      <alignment horizontal="left" vertical="center"/>
    </xf>
    <xf numFmtId="0" fontId="21" fillId="2" borderId="1" xfId="0" applyFont="1" applyFill="1" applyBorder="1" applyAlignment="1">
      <alignment horizontal="left" vertic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8" fillId="0" borderId="12" xfId="1" applyBorder="1" applyAlignment="1">
      <alignment horizontal="center"/>
    </xf>
    <xf numFmtId="0" fontId="8" fillId="0" borderId="3" xfId="1" applyBorder="1" applyAlignment="1">
      <alignment horizontal="center"/>
    </xf>
    <xf numFmtId="0" fontId="8" fillId="0" borderId="0" xfId="1" applyBorder="1" applyAlignment="1">
      <alignment horizontal="center" vertical="center" wrapText="1"/>
    </xf>
    <xf numFmtId="0" fontId="8" fillId="0" borderId="5" xfId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9" fillId="10" borderId="8" xfId="0" applyFont="1" applyFill="1" applyBorder="1" applyAlignment="1">
      <alignment horizontal="center"/>
    </xf>
    <xf numFmtId="0" fontId="9" fillId="10" borderId="9" xfId="0" applyFont="1" applyFill="1" applyBorder="1" applyAlignment="1">
      <alignment horizontal="center"/>
    </xf>
    <xf numFmtId="0" fontId="9" fillId="10" borderId="10" xfId="0" applyFont="1" applyFill="1" applyBorder="1" applyAlignment="1">
      <alignment horizontal="center"/>
    </xf>
    <xf numFmtId="0" fontId="8" fillId="0" borderId="11" xfId="1" applyBorder="1" applyAlignment="1">
      <alignment horizontal="center" vertical="center" wrapText="1"/>
    </xf>
    <xf numFmtId="0" fontId="8" fillId="0" borderId="7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igmaaldrich.com/IE/en/product/sigald/258148" TargetMode="External"/><Relationship Id="rId2" Type="http://schemas.openxmlformats.org/officeDocument/2006/relationships/hyperlink" Target="https://www.sigmaaldrich.com/IE/en/product/aldrich/h16752" TargetMode="External"/><Relationship Id="rId1" Type="http://schemas.openxmlformats.org/officeDocument/2006/relationships/hyperlink" Target="https://ec.europa.eu/eurostat/statistics-explained/index.php?title=Electricity_price_statistics" TargetMode="External"/><Relationship Id="rId4" Type="http://schemas.openxmlformats.org/officeDocument/2006/relationships/hyperlink" Target="https://www.sigmaaldrich.com/IE/en/product/sigald/2214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6B05B-F91D-4983-B4C0-333663BFA864}">
  <dimension ref="A1:U51"/>
  <sheetViews>
    <sheetView tabSelected="1" topLeftCell="A25" workbookViewId="0">
      <selection activeCell="I26" sqref="I26"/>
    </sheetView>
  </sheetViews>
  <sheetFormatPr defaultRowHeight="15"/>
  <cols>
    <col min="1" max="1" width="21.85546875" customWidth="1"/>
    <col min="2" max="2" width="10" customWidth="1"/>
    <col min="3" max="3" width="5" customWidth="1"/>
    <col min="6" max="6" width="8.140625" bestFit="1" customWidth="1"/>
    <col min="8" max="8" width="13.85546875" customWidth="1"/>
    <col min="9" max="10" width="11.28515625" customWidth="1"/>
    <col min="12" max="12" width="39" bestFit="1" customWidth="1"/>
    <col min="13" max="13" width="10" customWidth="1"/>
    <col min="14" max="14" width="14.28515625" customWidth="1"/>
    <col min="19" max="19" width="12" customWidth="1"/>
    <col min="20" max="20" width="13.7109375" customWidth="1"/>
    <col min="21" max="21" width="12.7109375" customWidth="1"/>
  </cols>
  <sheetData>
    <row r="1" spans="1:21">
      <c r="A1" s="2" t="s">
        <v>44</v>
      </c>
      <c r="L1" s="55" t="s">
        <v>44</v>
      </c>
    </row>
    <row r="2" spans="1:21">
      <c r="A2" s="2" t="s">
        <v>45</v>
      </c>
      <c r="B2" s="1" t="s">
        <v>0</v>
      </c>
      <c r="L2" s="55" t="s">
        <v>45</v>
      </c>
      <c r="M2" s="56" t="s">
        <v>0</v>
      </c>
    </row>
    <row r="3" spans="1:21">
      <c r="A3" s="2" t="s">
        <v>46</v>
      </c>
      <c r="B3" s="2" t="s">
        <v>1</v>
      </c>
      <c r="L3" s="55" t="s">
        <v>46</v>
      </c>
      <c r="M3" s="55" t="s">
        <v>1</v>
      </c>
    </row>
    <row r="5" spans="1:21">
      <c r="A5" s="1" t="s">
        <v>2</v>
      </c>
      <c r="C5" s="2" t="s">
        <v>6</v>
      </c>
      <c r="L5" s="56" t="s">
        <v>2</v>
      </c>
      <c r="N5" s="55" t="s">
        <v>6</v>
      </c>
    </row>
    <row r="6" spans="1:21">
      <c r="A6" s="1" t="s">
        <v>3</v>
      </c>
      <c r="C6" s="13" t="s">
        <v>56</v>
      </c>
      <c r="D6" s="14"/>
      <c r="E6" s="14"/>
      <c r="F6" s="14"/>
      <c r="G6" s="14"/>
      <c r="L6" s="56" t="s">
        <v>3</v>
      </c>
      <c r="N6" s="69" t="s">
        <v>130</v>
      </c>
      <c r="O6" s="14"/>
      <c r="P6" s="14"/>
      <c r="Q6" s="14"/>
    </row>
    <row r="7" spans="1:21">
      <c r="A7" s="1" t="s">
        <v>4</v>
      </c>
      <c r="C7" s="13" t="s">
        <v>57</v>
      </c>
      <c r="D7" s="14"/>
      <c r="E7" s="14"/>
      <c r="F7" s="14"/>
      <c r="G7" s="14"/>
      <c r="L7" s="56" t="s">
        <v>4</v>
      </c>
      <c r="N7" s="70" t="s">
        <v>131</v>
      </c>
      <c r="O7" s="14"/>
      <c r="P7" s="14"/>
      <c r="Q7" s="14"/>
    </row>
    <row r="8" spans="1:21">
      <c r="A8" s="1" t="s">
        <v>5</v>
      </c>
      <c r="C8" s="2" t="s">
        <v>7</v>
      </c>
      <c r="L8" s="56" t="s">
        <v>5</v>
      </c>
      <c r="N8" s="55" t="s">
        <v>7</v>
      </c>
    </row>
    <row r="10" spans="1:21">
      <c r="A10" s="3" t="s">
        <v>47</v>
      </c>
      <c r="B10" s="76" t="s">
        <v>43</v>
      </c>
      <c r="C10" s="76" t="s">
        <v>48</v>
      </c>
      <c r="D10" s="76" t="s">
        <v>43</v>
      </c>
      <c r="E10" s="76" t="s">
        <v>48</v>
      </c>
      <c r="H10" s="73" t="s">
        <v>58</v>
      </c>
      <c r="I10" s="74"/>
      <c r="J10" s="75"/>
      <c r="L10" s="57" t="s">
        <v>47</v>
      </c>
      <c r="M10" s="77" t="s">
        <v>43</v>
      </c>
      <c r="N10" s="77" t="s">
        <v>48</v>
      </c>
      <c r="O10" s="77" t="s">
        <v>43</v>
      </c>
      <c r="P10" s="77" t="s">
        <v>48</v>
      </c>
      <c r="S10" s="73" t="s">
        <v>136</v>
      </c>
      <c r="T10" s="74"/>
      <c r="U10" s="75"/>
    </row>
    <row r="11" spans="1:21">
      <c r="A11" s="4" t="s">
        <v>49</v>
      </c>
      <c r="B11" s="6" t="s">
        <v>59</v>
      </c>
      <c r="C11" s="6" t="s">
        <v>48</v>
      </c>
      <c r="D11" s="6" t="s">
        <v>60</v>
      </c>
      <c r="E11" s="6" t="s">
        <v>48</v>
      </c>
      <c r="H11" s="71">
        <f>(B47+D47)*1000</f>
        <v>5431810</v>
      </c>
      <c r="I11" t="s">
        <v>61</v>
      </c>
      <c r="J11" s="22"/>
      <c r="L11" s="58" t="s">
        <v>49</v>
      </c>
      <c r="M11" s="6" t="s">
        <v>134</v>
      </c>
      <c r="O11" s="6" t="s">
        <v>135</v>
      </c>
      <c r="P11" s="6" t="s">
        <v>48</v>
      </c>
      <c r="S11" s="71">
        <f>M47+O47*1000</f>
        <v>50568.83</v>
      </c>
      <c r="T11" t="s">
        <v>132</v>
      </c>
      <c r="U11" s="22"/>
    </row>
    <row r="12" spans="1:21">
      <c r="A12" s="5" t="s">
        <v>8</v>
      </c>
      <c r="B12" s="8" t="s">
        <v>50</v>
      </c>
      <c r="C12" s="8" t="s">
        <v>48</v>
      </c>
      <c r="D12" s="8" t="s">
        <v>50</v>
      </c>
      <c r="E12" s="8" t="s">
        <v>48</v>
      </c>
      <c r="H12" s="71">
        <f>H11/1000</f>
        <v>5431.81</v>
      </c>
      <c r="I12" t="s">
        <v>62</v>
      </c>
      <c r="J12" s="22"/>
      <c r="L12" s="59" t="s">
        <v>8</v>
      </c>
      <c r="M12" s="60">
        <v>0</v>
      </c>
      <c r="N12" s="61" t="s">
        <v>48</v>
      </c>
      <c r="O12" s="61" t="s">
        <v>50</v>
      </c>
      <c r="P12" s="61" t="s">
        <v>48</v>
      </c>
      <c r="S12" s="71">
        <f>S11/1000</f>
        <v>50.568829999999998</v>
      </c>
      <c r="T12" t="s">
        <v>7</v>
      </c>
      <c r="U12" s="22"/>
    </row>
    <row r="13" spans="1:21">
      <c r="A13" s="5" t="s">
        <v>9</v>
      </c>
      <c r="B13" s="7" t="s">
        <v>50</v>
      </c>
      <c r="C13" s="7" t="s">
        <v>48</v>
      </c>
      <c r="D13" s="7" t="s">
        <v>50</v>
      </c>
      <c r="E13" s="7" t="s">
        <v>48</v>
      </c>
      <c r="H13" s="72">
        <f>H11/1000000</f>
        <v>5.4318099999999996</v>
      </c>
      <c r="I13" s="44" t="s">
        <v>63</v>
      </c>
      <c r="J13" s="23"/>
      <c r="L13" s="59" t="s">
        <v>9</v>
      </c>
      <c r="M13" s="62" t="s">
        <v>50</v>
      </c>
      <c r="N13" s="62" t="s">
        <v>48</v>
      </c>
      <c r="O13" s="62" t="s">
        <v>50</v>
      </c>
      <c r="P13" s="62" t="s">
        <v>48</v>
      </c>
      <c r="S13" s="72">
        <f>S11/1000000</f>
        <v>5.0568830000000002E-2</v>
      </c>
      <c r="T13" s="44" t="s">
        <v>133</v>
      </c>
      <c r="U13" s="23"/>
    </row>
    <row r="14" spans="1:21">
      <c r="A14" s="5" t="s">
        <v>10</v>
      </c>
      <c r="B14" s="10">
        <v>243.76</v>
      </c>
      <c r="C14" s="8" t="s">
        <v>48</v>
      </c>
      <c r="D14" s="8" t="s">
        <v>50</v>
      </c>
      <c r="E14" s="8" t="s">
        <v>48</v>
      </c>
      <c r="L14" s="59" t="s">
        <v>10</v>
      </c>
      <c r="M14" s="63">
        <v>112.59</v>
      </c>
      <c r="N14" s="61" t="s">
        <v>48</v>
      </c>
      <c r="O14" s="61" t="s">
        <v>50</v>
      </c>
      <c r="P14" s="61" t="s">
        <v>48</v>
      </c>
    </row>
    <row r="15" spans="1:21">
      <c r="A15" s="5" t="s">
        <v>11</v>
      </c>
      <c r="B15" s="7" t="s">
        <v>50</v>
      </c>
      <c r="C15" s="7" t="s">
        <v>48</v>
      </c>
      <c r="D15" s="7" t="s">
        <v>50</v>
      </c>
      <c r="E15" s="7" t="s">
        <v>48</v>
      </c>
      <c r="L15" s="59" t="s">
        <v>11</v>
      </c>
      <c r="M15" s="62" t="s">
        <v>50</v>
      </c>
      <c r="N15" s="62" t="s">
        <v>48</v>
      </c>
      <c r="O15" s="62" t="s">
        <v>50</v>
      </c>
      <c r="P15" s="62" t="s">
        <v>48</v>
      </c>
    </row>
    <row r="16" spans="1:21">
      <c r="A16" s="5" t="s">
        <v>12</v>
      </c>
      <c r="B16" s="8" t="s">
        <v>50</v>
      </c>
      <c r="C16" s="8" t="s">
        <v>48</v>
      </c>
      <c r="D16" s="8" t="s">
        <v>50</v>
      </c>
      <c r="E16" s="8" t="s">
        <v>48</v>
      </c>
      <c r="L16" s="59" t="s">
        <v>12</v>
      </c>
      <c r="M16" s="61" t="s">
        <v>50</v>
      </c>
      <c r="N16" s="61" t="s">
        <v>48</v>
      </c>
      <c r="O16" s="61" t="s">
        <v>50</v>
      </c>
      <c r="P16" s="61" t="s">
        <v>48</v>
      </c>
    </row>
    <row r="17" spans="1:16">
      <c r="A17" s="5" t="s">
        <v>13</v>
      </c>
      <c r="B17" s="9">
        <v>21.77</v>
      </c>
      <c r="C17" s="7" t="s">
        <v>48</v>
      </c>
      <c r="D17" s="9">
        <v>9.86</v>
      </c>
      <c r="E17" s="7" t="s">
        <v>48</v>
      </c>
      <c r="L17" s="59" t="s">
        <v>13</v>
      </c>
      <c r="M17" s="64">
        <v>2.79</v>
      </c>
      <c r="N17" s="62" t="s">
        <v>48</v>
      </c>
      <c r="O17" s="64">
        <v>0.06</v>
      </c>
      <c r="P17" s="62" t="s">
        <v>48</v>
      </c>
    </row>
    <row r="18" spans="1:16">
      <c r="A18" s="5" t="s">
        <v>14</v>
      </c>
      <c r="B18" s="10">
        <v>59.76</v>
      </c>
      <c r="C18" s="8" t="s">
        <v>48</v>
      </c>
      <c r="D18" s="8" t="s">
        <v>50</v>
      </c>
      <c r="E18" s="8" t="s">
        <v>48</v>
      </c>
      <c r="L18" s="59" t="s">
        <v>14</v>
      </c>
      <c r="M18" s="63">
        <v>4.21</v>
      </c>
      <c r="N18" s="61" t="s">
        <v>48</v>
      </c>
      <c r="O18" s="61" t="s">
        <v>50</v>
      </c>
      <c r="P18" s="61" t="s">
        <v>48</v>
      </c>
    </row>
    <row r="19" spans="1:16">
      <c r="A19" s="5" t="s">
        <v>15</v>
      </c>
      <c r="B19" s="7" t="s">
        <v>50</v>
      </c>
      <c r="C19" s="7" t="s">
        <v>48</v>
      </c>
      <c r="D19" s="7" t="s">
        <v>50</v>
      </c>
      <c r="E19" s="7" t="s">
        <v>48</v>
      </c>
      <c r="L19" s="59" t="s">
        <v>15</v>
      </c>
      <c r="M19" s="62" t="s">
        <v>50</v>
      </c>
      <c r="N19" s="62" t="s">
        <v>48</v>
      </c>
      <c r="O19" s="62" t="s">
        <v>50</v>
      </c>
      <c r="P19" s="62" t="s">
        <v>48</v>
      </c>
    </row>
    <row r="20" spans="1:16">
      <c r="A20" s="5" t="s">
        <v>16</v>
      </c>
      <c r="B20" s="8" t="s">
        <v>50</v>
      </c>
      <c r="C20" s="8" t="s">
        <v>48</v>
      </c>
      <c r="D20" s="8" t="s">
        <v>50</v>
      </c>
      <c r="E20" s="8" t="s">
        <v>48</v>
      </c>
      <c r="L20" s="59" t="s">
        <v>16</v>
      </c>
      <c r="M20" s="61" t="s">
        <v>50</v>
      </c>
      <c r="N20" s="61" t="s">
        <v>48</v>
      </c>
      <c r="O20" s="61" t="s">
        <v>50</v>
      </c>
      <c r="P20" s="61" t="s">
        <v>48</v>
      </c>
    </row>
    <row r="21" spans="1:16">
      <c r="A21" s="5" t="s">
        <v>17</v>
      </c>
      <c r="B21" s="9">
        <v>1123.31</v>
      </c>
      <c r="C21" s="7" t="s">
        <v>48</v>
      </c>
      <c r="D21" s="7" t="s">
        <v>50</v>
      </c>
      <c r="E21" s="7" t="s">
        <v>48</v>
      </c>
      <c r="L21" s="59" t="s">
        <v>17</v>
      </c>
      <c r="M21" s="65">
        <v>526.79999999999995</v>
      </c>
      <c r="N21" s="62" t="s">
        <v>48</v>
      </c>
      <c r="O21" s="62" t="s">
        <v>50</v>
      </c>
      <c r="P21" s="62" t="s">
        <v>48</v>
      </c>
    </row>
    <row r="22" spans="1:16">
      <c r="A22" s="5" t="s">
        <v>18</v>
      </c>
      <c r="B22" s="12">
        <v>35.299999999999997</v>
      </c>
      <c r="C22" s="8" t="s">
        <v>48</v>
      </c>
      <c r="D22" s="10">
        <v>8.32</v>
      </c>
      <c r="E22" s="8" t="s">
        <v>48</v>
      </c>
      <c r="L22" s="59" t="s">
        <v>18</v>
      </c>
      <c r="M22" s="63">
        <v>2.15</v>
      </c>
      <c r="N22" s="61" t="s">
        <v>48</v>
      </c>
      <c r="O22" s="63">
        <v>3.84</v>
      </c>
      <c r="P22" s="61" t="s">
        <v>48</v>
      </c>
    </row>
    <row r="23" spans="1:16">
      <c r="A23" s="5" t="s">
        <v>19</v>
      </c>
      <c r="B23" s="7" t="s">
        <v>50</v>
      </c>
      <c r="C23" s="7" t="s">
        <v>48</v>
      </c>
      <c r="D23" s="7" t="s">
        <v>50</v>
      </c>
      <c r="E23" s="7" t="s">
        <v>48</v>
      </c>
      <c r="L23" s="59" t="s">
        <v>19</v>
      </c>
      <c r="M23" s="62" t="s">
        <v>50</v>
      </c>
      <c r="N23" s="62" t="s">
        <v>48</v>
      </c>
      <c r="O23" s="62" t="s">
        <v>50</v>
      </c>
      <c r="P23" s="62" t="s">
        <v>48</v>
      </c>
    </row>
    <row r="24" spans="1:16">
      <c r="A24" s="5" t="s">
        <v>20</v>
      </c>
      <c r="B24" s="10">
        <v>8.31</v>
      </c>
      <c r="C24" s="8" t="s">
        <v>48</v>
      </c>
      <c r="D24" s="8" t="s">
        <v>50</v>
      </c>
      <c r="E24" s="8" t="s">
        <v>48</v>
      </c>
      <c r="L24" s="59" t="s">
        <v>20</v>
      </c>
      <c r="M24" s="60">
        <v>4.8</v>
      </c>
      <c r="N24" s="61" t="s">
        <v>48</v>
      </c>
      <c r="O24" s="61" t="s">
        <v>50</v>
      </c>
      <c r="P24" s="61" t="s">
        <v>48</v>
      </c>
    </row>
    <row r="25" spans="1:16">
      <c r="A25" s="5" t="s">
        <v>21</v>
      </c>
      <c r="B25" s="9">
        <v>20.39</v>
      </c>
      <c r="C25" s="7" t="s">
        <v>48</v>
      </c>
      <c r="D25" s="7" t="s">
        <v>50</v>
      </c>
      <c r="E25" s="7" t="s">
        <v>48</v>
      </c>
      <c r="L25" s="59" t="s">
        <v>21</v>
      </c>
      <c r="M25" s="64">
        <v>0.91</v>
      </c>
      <c r="N25" s="62" t="s">
        <v>48</v>
      </c>
      <c r="O25" s="62" t="s">
        <v>50</v>
      </c>
      <c r="P25" s="62" t="s">
        <v>48</v>
      </c>
    </row>
    <row r="26" spans="1:16">
      <c r="A26" s="5" t="s">
        <v>22</v>
      </c>
      <c r="B26" s="10">
        <v>48.38</v>
      </c>
      <c r="C26" s="8" t="s">
        <v>48</v>
      </c>
      <c r="D26" s="8" t="s">
        <v>50</v>
      </c>
      <c r="E26" s="8" t="s">
        <v>48</v>
      </c>
      <c r="L26" s="59" t="s">
        <v>22</v>
      </c>
      <c r="M26" s="63">
        <v>20.239999999999998</v>
      </c>
      <c r="N26" s="61" t="s">
        <v>48</v>
      </c>
      <c r="O26" s="61" t="s">
        <v>50</v>
      </c>
      <c r="P26" s="61" t="s">
        <v>48</v>
      </c>
    </row>
    <row r="27" spans="1:16">
      <c r="A27" s="5" t="s">
        <v>23</v>
      </c>
      <c r="B27" s="9">
        <v>12.52</v>
      </c>
      <c r="C27" s="7" t="s">
        <v>51</v>
      </c>
      <c r="D27" s="7" t="s">
        <v>50</v>
      </c>
      <c r="E27" s="7" t="s">
        <v>48</v>
      </c>
      <c r="L27" s="59" t="s">
        <v>23</v>
      </c>
      <c r="M27" s="64">
        <v>0.04</v>
      </c>
      <c r="N27" s="62" t="s">
        <v>51</v>
      </c>
      <c r="O27" s="62" t="s">
        <v>50</v>
      </c>
      <c r="P27" s="62" t="s">
        <v>48</v>
      </c>
    </row>
    <row r="28" spans="1:16">
      <c r="A28" s="5" t="s">
        <v>24</v>
      </c>
      <c r="B28" s="10">
        <v>248.08</v>
      </c>
      <c r="C28" s="8" t="s">
        <v>48</v>
      </c>
      <c r="D28" s="10">
        <v>27.32</v>
      </c>
      <c r="E28" s="8" t="s">
        <v>48</v>
      </c>
      <c r="L28" s="59" t="s">
        <v>24</v>
      </c>
      <c r="M28" s="63">
        <v>193.34</v>
      </c>
      <c r="N28" s="61" t="s">
        <v>48</v>
      </c>
      <c r="O28" s="63">
        <v>10.72</v>
      </c>
      <c r="P28" s="61" t="s">
        <v>48</v>
      </c>
    </row>
    <row r="29" spans="1:16">
      <c r="A29" s="5" t="s">
        <v>25</v>
      </c>
      <c r="B29" s="9">
        <v>9.26</v>
      </c>
      <c r="C29" s="7" t="s">
        <v>48</v>
      </c>
      <c r="D29" s="11">
        <v>0</v>
      </c>
      <c r="E29" s="7" t="s">
        <v>48</v>
      </c>
      <c r="L29" s="59" t="s">
        <v>25</v>
      </c>
      <c r="M29" s="65">
        <v>0</v>
      </c>
      <c r="N29" s="62" t="s">
        <v>48</v>
      </c>
      <c r="O29" s="65">
        <v>0</v>
      </c>
      <c r="P29" s="62" t="s">
        <v>48</v>
      </c>
    </row>
    <row r="30" spans="1:16">
      <c r="A30" s="5" t="s">
        <v>26</v>
      </c>
      <c r="B30" s="12">
        <v>349.6</v>
      </c>
      <c r="C30" s="8" t="s">
        <v>48</v>
      </c>
      <c r="D30" s="8" t="s">
        <v>50</v>
      </c>
      <c r="E30" s="8" t="s">
        <v>48</v>
      </c>
      <c r="L30" s="59" t="s">
        <v>26</v>
      </c>
      <c r="M30" s="60">
        <v>0</v>
      </c>
      <c r="N30" s="61" t="s">
        <v>48</v>
      </c>
      <c r="O30" s="61" t="s">
        <v>50</v>
      </c>
      <c r="P30" s="61" t="s">
        <v>48</v>
      </c>
    </row>
    <row r="31" spans="1:16">
      <c r="A31" s="5" t="s">
        <v>27</v>
      </c>
      <c r="B31" s="9">
        <v>196.45</v>
      </c>
      <c r="C31" s="7" t="s">
        <v>48</v>
      </c>
      <c r="D31" s="7" t="s">
        <v>50</v>
      </c>
      <c r="E31" s="7" t="s">
        <v>48</v>
      </c>
      <c r="L31" s="59" t="s">
        <v>27</v>
      </c>
      <c r="M31" s="65">
        <v>38.799999999999997</v>
      </c>
      <c r="N31" s="62" t="s">
        <v>48</v>
      </c>
      <c r="O31" s="62" t="s">
        <v>50</v>
      </c>
      <c r="P31" s="62" t="s">
        <v>48</v>
      </c>
    </row>
    <row r="32" spans="1:16">
      <c r="A32" s="5" t="s">
        <v>28</v>
      </c>
      <c r="B32" s="10">
        <v>580.66</v>
      </c>
      <c r="C32" s="8" t="s">
        <v>48</v>
      </c>
      <c r="D32" s="10">
        <v>431.78</v>
      </c>
      <c r="E32" s="8" t="s">
        <v>48</v>
      </c>
      <c r="L32" s="59" t="s">
        <v>28</v>
      </c>
      <c r="M32" s="63">
        <v>22.78</v>
      </c>
      <c r="N32" s="61" t="s">
        <v>48</v>
      </c>
      <c r="O32" s="63">
        <v>1.54</v>
      </c>
      <c r="P32" s="61" t="s">
        <v>48</v>
      </c>
    </row>
    <row r="33" spans="1:16">
      <c r="A33" s="5" t="s">
        <v>29</v>
      </c>
      <c r="B33" s="7" t="s">
        <v>50</v>
      </c>
      <c r="C33" s="7" t="s">
        <v>48</v>
      </c>
      <c r="D33" s="7" t="s">
        <v>50</v>
      </c>
      <c r="E33" s="7" t="s">
        <v>48</v>
      </c>
      <c r="L33" s="59" t="s">
        <v>29</v>
      </c>
      <c r="M33" s="62" t="s">
        <v>50</v>
      </c>
      <c r="N33" s="62" t="s">
        <v>48</v>
      </c>
      <c r="O33" s="62" t="s">
        <v>50</v>
      </c>
      <c r="P33" s="62" t="s">
        <v>48</v>
      </c>
    </row>
    <row r="34" spans="1:16">
      <c r="A34" s="5" t="s">
        <v>30</v>
      </c>
      <c r="B34" s="10">
        <v>207.21</v>
      </c>
      <c r="C34" s="8" t="s">
        <v>48</v>
      </c>
      <c r="D34" s="10">
        <v>155.09</v>
      </c>
      <c r="E34" s="8" t="s">
        <v>48</v>
      </c>
      <c r="L34" s="59" t="s">
        <v>30</v>
      </c>
      <c r="M34" s="63">
        <v>1.78</v>
      </c>
      <c r="N34" s="61" t="s">
        <v>48</v>
      </c>
      <c r="O34" s="63">
        <v>16.57</v>
      </c>
      <c r="P34" s="61" t="s">
        <v>48</v>
      </c>
    </row>
    <row r="35" spans="1:16">
      <c r="A35" s="5" t="s">
        <v>31</v>
      </c>
      <c r="B35" s="9">
        <v>26.11</v>
      </c>
      <c r="C35" s="7" t="s">
        <v>48</v>
      </c>
      <c r="D35" s="11">
        <v>0</v>
      </c>
      <c r="E35" s="7" t="s">
        <v>48</v>
      </c>
      <c r="L35" s="59" t="s">
        <v>31</v>
      </c>
      <c r="M35" s="64">
        <v>0.22</v>
      </c>
      <c r="N35" s="62" t="s">
        <v>48</v>
      </c>
      <c r="O35" s="65">
        <v>0</v>
      </c>
      <c r="P35" s="62" t="s">
        <v>48</v>
      </c>
    </row>
    <row r="36" spans="1:16">
      <c r="A36" s="5" t="s">
        <v>32</v>
      </c>
      <c r="B36" s="10">
        <v>55.05</v>
      </c>
      <c r="C36" s="8" t="s">
        <v>48</v>
      </c>
      <c r="D36" s="8" t="s">
        <v>50</v>
      </c>
      <c r="E36" s="8" t="s">
        <v>48</v>
      </c>
      <c r="L36" s="59" t="s">
        <v>32</v>
      </c>
      <c r="M36" s="60">
        <v>28.8</v>
      </c>
      <c r="N36" s="61" t="s">
        <v>48</v>
      </c>
      <c r="O36" s="61" t="s">
        <v>50</v>
      </c>
      <c r="P36" s="61" t="s">
        <v>48</v>
      </c>
    </row>
    <row r="37" spans="1:16">
      <c r="A37" s="5" t="s">
        <v>33</v>
      </c>
      <c r="B37" s="7" t="s">
        <v>50</v>
      </c>
      <c r="C37" s="7" t="s">
        <v>48</v>
      </c>
      <c r="D37" s="7" t="s">
        <v>50</v>
      </c>
      <c r="E37" s="7" t="s">
        <v>48</v>
      </c>
      <c r="L37" s="59" t="s">
        <v>33</v>
      </c>
      <c r="M37" s="62" t="s">
        <v>50</v>
      </c>
      <c r="N37" s="62" t="s">
        <v>48</v>
      </c>
      <c r="O37" s="62" t="s">
        <v>50</v>
      </c>
      <c r="P37" s="62" t="s">
        <v>48</v>
      </c>
    </row>
    <row r="38" spans="1:16">
      <c r="A38" s="5" t="s">
        <v>34</v>
      </c>
      <c r="B38" s="12">
        <v>203.8</v>
      </c>
      <c r="C38" s="8" t="s">
        <v>48</v>
      </c>
      <c r="D38" s="8" t="s">
        <v>50</v>
      </c>
      <c r="E38" s="8" t="s">
        <v>48</v>
      </c>
      <c r="L38" s="59" t="s">
        <v>34</v>
      </c>
      <c r="M38" s="61" t="s">
        <v>50</v>
      </c>
      <c r="N38" s="61" t="s">
        <v>48</v>
      </c>
      <c r="O38" s="61" t="s">
        <v>50</v>
      </c>
      <c r="P38" s="61" t="s">
        <v>48</v>
      </c>
    </row>
    <row r="39" spans="1:16">
      <c r="A39" s="5" t="s">
        <v>35</v>
      </c>
      <c r="B39" s="7" t="s">
        <v>50</v>
      </c>
      <c r="C39" s="7" t="s">
        <v>48</v>
      </c>
      <c r="D39" s="7" t="s">
        <v>50</v>
      </c>
      <c r="E39" s="7" t="s">
        <v>48</v>
      </c>
      <c r="L39" s="59" t="s">
        <v>35</v>
      </c>
      <c r="M39" s="62" t="s">
        <v>50</v>
      </c>
      <c r="N39" s="62" t="s">
        <v>48</v>
      </c>
      <c r="O39" s="62" t="s">
        <v>50</v>
      </c>
      <c r="P39" s="62" t="s">
        <v>48</v>
      </c>
    </row>
    <row r="40" spans="1:16">
      <c r="A40" s="5" t="s">
        <v>36</v>
      </c>
      <c r="B40" s="10">
        <v>167.65</v>
      </c>
      <c r="C40" s="8" t="s">
        <v>48</v>
      </c>
      <c r="D40" s="8" t="s">
        <v>50</v>
      </c>
      <c r="E40" s="8" t="s">
        <v>48</v>
      </c>
      <c r="L40" s="59" t="s">
        <v>36</v>
      </c>
      <c r="M40" s="63">
        <v>41.27</v>
      </c>
      <c r="N40" s="61" t="s">
        <v>48</v>
      </c>
      <c r="O40" s="61" t="s">
        <v>50</v>
      </c>
      <c r="P40" s="61" t="s">
        <v>48</v>
      </c>
    </row>
    <row r="41" spans="1:16">
      <c r="A41" s="5" t="s">
        <v>37</v>
      </c>
      <c r="B41" s="7" t="s">
        <v>50</v>
      </c>
      <c r="C41" s="7" t="s">
        <v>48</v>
      </c>
      <c r="D41" s="7" t="s">
        <v>50</v>
      </c>
      <c r="E41" s="7" t="s">
        <v>48</v>
      </c>
      <c r="L41" s="59" t="s">
        <v>37</v>
      </c>
      <c r="M41" s="62" t="s">
        <v>50</v>
      </c>
      <c r="N41" s="62" t="s">
        <v>48</v>
      </c>
      <c r="O41" s="62" t="s">
        <v>50</v>
      </c>
      <c r="P41" s="62" t="s">
        <v>48</v>
      </c>
    </row>
    <row r="42" spans="1:16">
      <c r="A42" s="5" t="s">
        <v>38</v>
      </c>
      <c r="B42" s="8" t="s">
        <v>50</v>
      </c>
      <c r="C42" s="8" t="s">
        <v>48</v>
      </c>
      <c r="D42" s="8" t="s">
        <v>50</v>
      </c>
      <c r="E42" s="8" t="s">
        <v>48</v>
      </c>
      <c r="L42" s="59" t="s">
        <v>38</v>
      </c>
      <c r="M42" s="61" t="s">
        <v>50</v>
      </c>
      <c r="N42" s="61" t="s">
        <v>48</v>
      </c>
      <c r="O42" s="61" t="s">
        <v>50</v>
      </c>
      <c r="P42" s="61" t="s">
        <v>48</v>
      </c>
    </row>
    <row r="43" spans="1:16">
      <c r="A43" s="5" t="s">
        <v>39</v>
      </c>
      <c r="B43" s="7" t="s">
        <v>50</v>
      </c>
      <c r="C43" s="7" t="s">
        <v>48</v>
      </c>
      <c r="D43" s="7" t="s">
        <v>50</v>
      </c>
      <c r="E43" s="7" t="s">
        <v>48</v>
      </c>
      <c r="L43" s="59" t="s">
        <v>39</v>
      </c>
      <c r="M43" s="62" t="s">
        <v>50</v>
      </c>
      <c r="N43" s="62" t="s">
        <v>48</v>
      </c>
      <c r="O43" s="62" t="s">
        <v>50</v>
      </c>
      <c r="P43" s="62" t="s">
        <v>48</v>
      </c>
    </row>
    <row r="44" spans="1:16">
      <c r="A44" s="5" t="s">
        <v>40</v>
      </c>
      <c r="B44" s="12">
        <v>96.5</v>
      </c>
      <c r="C44" s="8" t="s">
        <v>48</v>
      </c>
      <c r="D44" s="8" t="s">
        <v>50</v>
      </c>
      <c r="E44" s="8" t="s">
        <v>48</v>
      </c>
      <c r="L44" s="59" t="s">
        <v>40</v>
      </c>
      <c r="M44" s="61" t="s">
        <v>50</v>
      </c>
      <c r="N44" s="61" t="s">
        <v>48</v>
      </c>
      <c r="O44" s="61" t="s">
        <v>50</v>
      </c>
      <c r="P44" s="61" t="s">
        <v>48</v>
      </c>
    </row>
    <row r="45" spans="1:16">
      <c r="A45" s="5" t="s">
        <v>41</v>
      </c>
      <c r="B45" s="11">
        <v>14</v>
      </c>
      <c r="C45" s="7" t="s">
        <v>48</v>
      </c>
      <c r="D45" s="11">
        <v>8.3000000000000007</v>
      </c>
      <c r="E45" s="7" t="s">
        <v>48</v>
      </c>
      <c r="L45" s="59" t="s">
        <v>41</v>
      </c>
      <c r="M45" s="62" t="s">
        <v>50</v>
      </c>
      <c r="N45" s="62" t="s">
        <v>48</v>
      </c>
      <c r="O45" s="62" t="s">
        <v>50</v>
      </c>
      <c r="P45" s="62" t="s">
        <v>48</v>
      </c>
    </row>
    <row r="46" spans="1:16">
      <c r="A46" s="5" t="s">
        <v>42</v>
      </c>
      <c r="B46" s="10">
        <v>348.04</v>
      </c>
      <c r="C46" s="8" t="s">
        <v>48</v>
      </c>
      <c r="D46" s="10">
        <v>715.23</v>
      </c>
      <c r="E46" s="8" t="s">
        <v>48</v>
      </c>
      <c r="L46" s="59" t="s">
        <v>42</v>
      </c>
      <c r="M46" s="63">
        <v>37.31</v>
      </c>
      <c r="N46" s="61" t="s">
        <v>48</v>
      </c>
      <c r="O46" s="60">
        <v>16.8</v>
      </c>
      <c r="P46" s="61" t="s">
        <v>48</v>
      </c>
    </row>
    <row r="47" spans="1:16">
      <c r="B47" s="15">
        <f>SUM(B14:B46)</f>
        <v>4075.9100000000003</v>
      </c>
      <c r="D47" s="16">
        <f>SUM(D14:D46)</f>
        <v>1355.9</v>
      </c>
      <c r="F47" s="17"/>
      <c r="M47" s="66">
        <f>SUM(M12:M46)</f>
        <v>1038.8299999999997</v>
      </c>
      <c r="N47" s="67"/>
      <c r="O47" s="68">
        <f>SUM(O12:O46)</f>
        <v>49.53</v>
      </c>
    </row>
    <row r="48" spans="1:16">
      <c r="A48" s="1" t="s">
        <v>52</v>
      </c>
      <c r="L48" s="56" t="s">
        <v>52</v>
      </c>
    </row>
    <row r="49" spans="1:13">
      <c r="A49" s="1" t="s">
        <v>50</v>
      </c>
      <c r="B49" s="2" t="s">
        <v>53</v>
      </c>
      <c r="D49" s="2" t="s">
        <v>53</v>
      </c>
      <c r="L49" s="56" t="s">
        <v>50</v>
      </c>
      <c r="M49" s="55" t="s">
        <v>53</v>
      </c>
    </row>
    <row r="50" spans="1:13">
      <c r="A50" s="1" t="s">
        <v>54</v>
      </c>
      <c r="L50" s="56" t="s">
        <v>54</v>
      </c>
    </row>
    <row r="51" spans="1:13">
      <c r="A51" s="1" t="s">
        <v>51</v>
      </c>
      <c r="B51" s="2" t="s">
        <v>55</v>
      </c>
      <c r="L51" s="56" t="s">
        <v>51</v>
      </c>
      <c r="M51" s="55" t="s">
        <v>55</v>
      </c>
    </row>
  </sheetData>
  <mergeCells count="6">
    <mergeCell ref="S10:U10"/>
    <mergeCell ref="B10:C10"/>
    <mergeCell ref="D10:E10"/>
    <mergeCell ref="M10:N10"/>
    <mergeCell ref="O10:P10"/>
    <mergeCell ref="H10:J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AEA3A-FDAC-4565-8557-74B17DAAA6DF}">
  <dimension ref="A1:U37"/>
  <sheetViews>
    <sheetView zoomScale="85" zoomScaleNormal="85" workbookViewId="0">
      <selection activeCell="L33" sqref="L33"/>
    </sheetView>
  </sheetViews>
  <sheetFormatPr defaultRowHeight="15"/>
  <cols>
    <col min="2" max="2" width="21.42578125" customWidth="1"/>
    <col min="3" max="4" width="11" bestFit="1" customWidth="1"/>
    <col min="11" max="11" width="12.7109375" customWidth="1"/>
    <col min="12" max="12" width="9.5703125" customWidth="1"/>
    <col min="14" max="14" width="12" bestFit="1" customWidth="1"/>
    <col min="16" max="16" width="12.42578125" customWidth="1"/>
    <col min="17" max="17" width="12.140625" bestFit="1" customWidth="1"/>
    <col min="18" max="18" width="11.7109375" bestFit="1" customWidth="1"/>
    <col min="21" max="21" width="12.7109375" bestFit="1" customWidth="1"/>
  </cols>
  <sheetData>
    <row r="1" spans="1:19" ht="18.75">
      <c r="A1" s="18" t="s">
        <v>127</v>
      </c>
    </row>
    <row r="2" spans="1:19" s="19" customFormat="1"/>
    <row r="3" spans="1:19">
      <c r="A3" s="78" t="s">
        <v>64</v>
      </c>
      <c r="B3" s="79"/>
      <c r="C3" s="79"/>
      <c r="D3" s="79"/>
      <c r="E3" s="79"/>
      <c r="F3" s="79"/>
      <c r="G3" s="79"/>
      <c r="H3" s="80"/>
      <c r="J3" s="78" t="s">
        <v>65</v>
      </c>
      <c r="K3" s="79"/>
      <c r="L3" s="79"/>
      <c r="M3" s="79"/>
      <c r="N3" s="79"/>
      <c r="O3" s="79"/>
      <c r="P3" s="79"/>
      <c r="Q3" s="79"/>
      <c r="R3" s="79"/>
      <c r="S3" s="80"/>
    </row>
    <row r="4" spans="1:19" s="19" customFormat="1">
      <c r="A4" s="26" t="s">
        <v>66</v>
      </c>
      <c r="H4" s="27"/>
      <c r="J4" s="26" t="s">
        <v>67</v>
      </c>
      <c r="K4" s="36"/>
      <c r="L4" s="36" t="s">
        <v>68</v>
      </c>
      <c r="M4" s="36"/>
      <c r="N4" s="36" t="s">
        <v>69</v>
      </c>
      <c r="O4" s="36"/>
      <c r="P4" s="36" t="s">
        <v>70</v>
      </c>
      <c r="S4" s="27"/>
    </row>
    <row r="5" spans="1:19" ht="15.75">
      <c r="A5" s="28"/>
      <c r="B5" t="s">
        <v>74</v>
      </c>
      <c r="C5">
        <v>0.1</v>
      </c>
      <c r="D5" t="s">
        <v>75</v>
      </c>
      <c r="H5" s="22"/>
      <c r="J5" s="28"/>
      <c r="K5" t="s">
        <v>71</v>
      </c>
      <c r="L5">
        <f>N5*5</f>
        <v>1.0158</v>
      </c>
      <c r="M5" t="s">
        <v>72</v>
      </c>
      <c r="N5" s="37">
        <f>203.16/1000</f>
        <v>0.20316000000000001</v>
      </c>
      <c r="O5" s="37" t="s">
        <v>115</v>
      </c>
      <c r="P5">
        <v>0.28100000000000003</v>
      </c>
      <c r="Q5" t="s">
        <v>73</v>
      </c>
      <c r="S5" s="22"/>
    </row>
    <row r="6" spans="1:19" ht="15.75">
      <c r="A6" s="28"/>
      <c r="B6" t="s">
        <v>77</v>
      </c>
      <c r="C6">
        <v>0.2</v>
      </c>
      <c r="D6" t="s">
        <v>78</v>
      </c>
      <c r="H6" s="22"/>
      <c r="J6" s="28"/>
      <c r="K6" t="s">
        <v>76</v>
      </c>
      <c r="L6">
        <f>N6*5</f>
        <v>2.1708000000000003</v>
      </c>
      <c r="M6" t="s">
        <v>72</v>
      </c>
      <c r="N6" s="37">
        <f>434.16/1000</f>
        <v>0.43416000000000005</v>
      </c>
      <c r="O6" s="37" t="s">
        <v>115</v>
      </c>
      <c r="P6">
        <v>0.28100000000000003</v>
      </c>
      <c r="Q6" t="s">
        <v>73</v>
      </c>
      <c r="S6" s="22"/>
    </row>
    <row r="7" spans="1:19">
      <c r="A7" s="28"/>
      <c r="B7" t="s">
        <v>79</v>
      </c>
      <c r="C7">
        <f>C5*C6</f>
        <v>2.0000000000000004E-2</v>
      </c>
      <c r="D7" t="s">
        <v>80</v>
      </c>
      <c r="H7" s="22"/>
      <c r="J7" s="28"/>
      <c r="N7" s="37"/>
      <c r="O7" s="37"/>
      <c r="S7" s="22"/>
    </row>
    <row r="8" spans="1:19" ht="15.75">
      <c r="A8" s="28"/>
      <c r="B8" s="19" t="s">
        <v>82</v>
      </c>
      <c r="C8" s="29">
        <f>C7*56.11</f>
        <v>1.1222000000000003</v>
      </c>
      <c r="D8" s="19" t="s">
        <v>83</v>
      </c>
      <c r="H8" s="22"/>
      <c r="J8" s="26" t="s">
        <v>81</v>
      </c>
      <c r="K8" t="s">
        <v>71</v>
      </c>
      <c r="L8">
        <f>N8*5</f>
        <v>2.1233499999999998</v>
      </c>
      <c r="M8" t="s">
        <v>72</v>
      </c>
      <c r="N8" s="37">
        <f>424.67/1000</f>
        <v>0.42466999999999999</v>
      </c>
      <c r="O8" s="37" t="s">
        <v>115</v>
      </c>
      <c r="P8">
        <v>4.3999999999999997E-2</v>
      </c>
      <c r="Q8" t="s">
        <v>73</v>
      </c>
      <c r="S8" s="22"/>
    </row>
    <row r="9" spans="1:19" ht="15.75">
      <c r="A9" s="28"/>
      <c r="H9" s="22"/>
      <c r="J9" s="28"/>
      <c r="K9" t="s">
        <v>76</v>
      </c>
      <c r="L9">
        <f>N9*5</f>
        <v>2.1504499999999998</v>
      </c>
      <c r="M9" t="s">
        <v>72</v>
      </c>
      <c r="N9" s="37">
        <f>430.09/1000</f>
        <v>0.43008999999999997</v>
      </c>
      <c r="O9" s="37" t="s">
        <v>115</v>
      </c>
      <c r="P9">
        <v>4.3999999999999997E-2</v>
      </c>
      <c r="Q9" t="s">
        <v>73</v>
      </c>
      <c r="S9" s="22"/>
    </row>
    <row r="10" spans="1:19">
      <c r="A10" s="26" t="s">
        <v>84</v>
      </c>
      <c r="H10" s="22"/>
      <c r="J10" s="28"/>
      <c r="S10" s="22"/>
    </row>
    <row r="11" spans="1:19">
      <c r="A11" s="28"/>
      <c r="B11" t="s">
        <v>74</v>
      </c>
      <c r="C11">
        <v>6</v>
      </c>
      <c r="D11" t="s">
        <v>75</v>
      </c>
      <c r="F11" s="96" t="s">
        <v>87</v>
      </c>
      <c r="G11" s="20">
        <f>19.54-10.5</f>
        <v>9.0399999999999991</v>
      </c>
      <c r="H11" s="22"/>
      <c r="J11" s="38"/>
      <c r="K11" s="39" t="s">
        <v>85</v>
      </c>
      <c r="L11" s="40"/>
      <c r="M11" s="40"/>
      <c r="P11" s="41"/>
      <c r="Q11" s="42" t="s">
        <v>86</v>
      </c>
      <c r="R11" s="41"/>
      <c r="S11" s="43"/>
    </row>
    <row r="12" spans="1:19" ht="16.5">
      <c r="A12" s="28"/>
      <c r="B12" t="s">
        <v>77</v>
      </c>
      <c r="C12" s="21">
        <f>G14/1000</f>
        <v>9.0533333333333351E-3</v>
      </c>
      <c r="D12" t="s">
        <v>78</v>
      </c>
      <c r="F12" s="97"/>
      <c r="G12" s="22">
        <f>19.71-10.62</f>
        <v>9.0900000000000016</v>
      </c>
      <c r="H12" s="22"/>
      <c r="J12" s="51" t="s">
        <v>88</v>
      </c>
      <c r="K12" s="52">
        <f>P5/(L5)</f>
        <v>0.2766292577278992</v>
      </c>
      <c r="L12" s="53" t="s">
        <v>122</v>
      </c>
      <c r="M12" s="19"/>
      <c r="P12" s="53" t="s">
        <v>89</v>
      </c>
      <c r="Q12" s="52">
        <f>C8/(L5)</f>
        <v>1.1047450285489273</v>
      </c>
      <c r="R12" s="53" t="s">
        <v>123</v>
      </c>
      <c r="S12" s="22"/>
    </row>
    <row r="13" spans="1:19" ht="16.5">
      <c r="A13" s="28"/>
      <c r="B13" t="s">
        <v>91</v>
      </c>
      <c r="C13">
        <f>C11*C12</f>
        <v>5.4320000000000007E-2</v>
      </c>
      <c r="D13" t="s">
        <v>80</v>
      </c>
      <c r="F13" s="98"/>
      <c r="G13" s="23">
        <f>19.44-10.41</f>
        <v>9.0300000000000011</v>
      </c>
      <c r="H13" s="22"/>
      <c r="J13" s="28"/>
      <c r="K13" s="54"/>
      <c r="P13" s="53" t="s">
        <v>90</v>
      </c>
      <c r="Q13" s="52">
        <f>C14/L5</f>
        <v>1.949701909824769</v>
      </c>
      <c r="R13" s="53" t="s">
        <v>124</v>
      </c>
      <c r="S13" s="22"/>
    </row>
    <row r="14" spans="1:19" ht="16.5">
      <c r="A14" s="28"/>
      <c r="B14" s="19" t="s">
        <v>92</v>
      </c>
      <c r="C14" s="29">
        <f>C13*36.46</f>
        <v>1.9805072000000004</v>
      </c>
      <c r="D14" s="19" t="s">
        <v>83</v>
      </c>
      <c r="F14" s="24" t="s">
        <v>93</v>
      </c>
      <c r="G14" s="25">
        <f>AVERAGE(G11:G13)</f>
        <v>9.0533333333333346</v>
      </c>
      <c r="H14" s="22"/>
      <c r="J14" s="51" t="s">
        <v>94</v>
      </c>
      <c r="K14" s="52">
        <f>P8/L8</f>
        <v>2.0721972355005062E-2</v>
      </c>
      <c r="L14" s="53" t="s">
        <v>122</v>
      </c>
      <c r="M14" s="19"/>
      <c r="P14" s="53" t="s">
        <v>95</v>
      </c>
      <c r="Q14" s="52">
        <f>C8/L8</f>
        <v>0.52850448583606113</v>
      </c>
      <c r="R14" s="53" t="s">
        <v>123</v>
      </c>
      <c r="S14" s="22"/>
    </row>
    <row r="15" spans="1:19" ht="16.5">
      <c r="A15" s="28"/>
      <c r="H15" s="22"/>
      <c r="J15" s="28"/>
      <c r="P15" s="53" t="s">
        <v>96</v>
      </c>
      <c r="Q15" s="52">
        <f>C14/L8</f>
        <v>0.93272762380201124</v>
      </c>
      <c r="R15" s="53" t="s">
        <v>124</v>
      </c>
      <c r="S15" s="22"/>
    </row>
    <row r="16" spans="1:19">
      <c r="A16" s="78" t="s">
        <v>119</v>
      </c>
      <c r="B16" s="79"/>
      <c r="C16" s="79"/>
      <c r="D16" s="79"/>
      <c r="E16" s="79"/>
      <c r="F16" s="79"/>
      <c r="G16" s="79"/>
      <c r="H16" s="80"/>
      <c r="J16" s="28"/>
      <c r="S16" s="22"/>
    </row>
    <row r="17" spans="1:19" ht="18">
      <c r="A17" s="28"/>
      <c r="B17" t="s">
        <v>97</v>
      </c>
      <c r="C17">
        <v>0.19020000000000001</v>
      </c>
      <c r="D17" t="s">
        <v>98</v>
      </c>
      <c r="E17" s="81" t="s">
        <v>99</v>
      </c>
      <c r="F17" s="81"/>
      <c r="G17" s="81"/>
      <c r="H17" s="82"/>
      <c r="J17" s="38"/>
      <c r="K17" s="39" t="s">
        <v>116</v>
      </c>
      <c r="L17" s="40"/>
      <c r="M17" s="40"/>
      <c r="P17" s="41"/>
      <c r="Q17" s="42" t="s">
        <v>117</v>
      </c>
      <c r="R17" s="41"/>
      <c r="S17" s="43"/>
    </row>
    <row r="18" spans="1:19" ht="16.5">
      <c r="A18" s="28"/>
      <c r="E18" s="30"/>
      <c r="H18" s="22"/>
      <c r="J18" s="51" t="s">
        <v>88</v>
      </c>
      <c r="K18" s="53">
        <f>K12*1000*$C$17</f>
        <v>52.614884819846431</v>
      </c>
      <c r="L18" s="53" t="s">
        <v>125</v>
      </c>
      <c r="P18" s="53" t="s">
        <v>89</v>
      </c>
      <c r="Q18" s="53">
        <f>(Q12*C21)*1000</f>
        <v>66.063752707225845</v>
      </c>
      <c r="R18" s="53" t="s">
        <v>126</v>
      </c>
      <c r="S18" s="22"/>
    </row>
    <row r="19" spans="1:19" ht="16.5" customHeight="1">
      <c r="A19" s="78" t="s">
        <v>120</v>
      </c>
      <c r="B19" s="79"/>
      <c r="C19" s="79"/>
      <c r="D19" s="79"/>
      <c r="E19" s="79"/>
      <c r="F19" s="79"/>
      <c r="G19" s="79"/>
      <c r="H19" s="80"/>
      <c r="J19" s="28"/>
      <c r="P19" s="53" t="s">
        <v>90</v>
      </c>
      <c r="Q19" s="53">
        <f>(C25*Q13)*1000</f>
        <v>226.71982235527636</v>
      </c>
      <c r="R19" s="53" t="s">
        <v>126</v>
      </c>
      <c r="S19" s="22"/>
    </row>
    <row r="20" spans="1:19" ht="16.5">
      <c r="A20" s="28"/>
      <c r="B20" s="99" t="s">
        <v>129</v>
      </c>
      <c r="C20">
        <v>59.8</v>
      </c>
      <c r="D20" t="s">
        <v>100</v>
      </c>
      <c r="E20" s="83" t="s">
        <v>101</v>
      </c>
      <c r="F20" s="83"/>
      <c r="G20" s="83"/>
      <c r="H20" s="84"/>
      <c r="J20" s="51" t="s">
        <v>94</v>
      </c>
      <c r="K20" s="53">
        <f>K14*1000*$C$17</f>
        <v>3.9413191419219626</v>
      </c>
      <c r="L20" s="53" t="s">
        <v>125</v>
      </c>
      <c r="P20" s="53" t="s">
        <v>95</v>
      </c>
      <c r="Q20" s="53">
        <f>(C21*Q14)*1000</f>
        <v>31.604568252996458</v>
      </c>
      <c r="R20" s="53" t="s">
        <v>126</v>
      </c>
      <c r="S20" s="22"/>
    </row>
    <row r="21" spans="1:19" ht="16.5" customHeight="1">
      <c r="A21" s="28"/>
      <c r="B21" s="99"/>
      <c r="C21" s="19">
        <f>C20/1000</f>
        <v>5.9799999999999999E-2</v>
      </c>
      <c r="D21" s="19" t="s">
        <v>102</v>
      </c>
      <c r="E21" s="83"/>
      <c r="F21" s="83"/>
      <c r="G21" s="83"/>
      <c r="H21" s="84"/>
      <c r="J21" s="28"/>
      <c r="P21" s="53" t="s">
        <v>96</v>
      </c>
      <c r="Q21" s="53">
        <f>(C25*Q15)*1000</f>
        <v>108.46162693314325</v>
      </c>
      <c r="R21" s="53" t="s">
        <v>126</v>
      </c>
      <c r="S21" s="22"/>
    </row>
    <row r="22" spans="1:19" ht="16.5" customHeight="1">
      <c r="A22" s="28"/>
      <c r="B22" s="94" t="s">
        <v>128</v>
      </c>
      <c r="C22">
        <v>128</v>
      </c>
      <c r="D22" t="s">
        <v>103</v>
      </c>
      <c r="E22" s="83" t="s">
        <v>104</v>
      </c>
      <c r="F22" s="83"/>
      <c r="G22" s="83"/>
      <c r="H22" s="84"/>
      <c r="J22" s="28"/>
      <c r="S22" s="22"/>
    </row>
    <row r="23" spans="1:19" ht="18">
      <c r="A23" s="28"/>
      <c r="B23" s="94"/>
      <c r="C23">
        <f>C22/2.5</f>
        <v>51.2</v>
      </c>
      <c r="D23" s="34" t="s">
        <v>105</v>
      </c>
      <c r="E23" s="83"/>
      <c r="F23" s="83"/>
      <c r="G23" s="83"/>
      <c r="H23" s="84"/>
      <c r="J23" s="89" t="s">
        <v>118</v>
      </c>
      <c r="K23" s="90"/>
      <c r="L23" s="90"/>
      <c r="M23" s="90"/>
      <c r="N23" s="90"/>
      <c r="O23" s="90"/>
      <c r="P23" s="90"/>
      <c r="Q23" s="90"/>
      <c r="R23" s="90"/>
      <c r="S23" s="91"/>
    </row>
    <row r="24" spans="1:19">
      <c r="A24" s="28"/>
      <c r="B24" s="94"/>
      <c r="C24">
        <f>1000 *1.19*37%</f>
        <v>440.3</v>
      </c>
      <c r="D24" t="s">
        <v>83</v>
      </c>
      <c r="E24" s="83"/>
      <c r="F24" s="83"/>
      <c r="G24" s="83"/>
      <c r="H24" s="84"/>
      <c r="J24" s="46"/>
      <c r="K24" s="47"/>
      <c r="L24" s="47"/>
      <c r="M24" s="47" t="s">
        <v>108</v>
      </c>
      <c r="N24" s="48">
        <f>K18+Q18+Q19</f>
        <v>345.39845988234867</v>
      </c>
      <c r="O24" s="47" t="s">
        <v>109</v>
      </c>
      <c r="P24" s="85" t="s">
        <v>111</v>
      </c>
      <c r="Q24" s="85"/>
      <c r="R24" s="85"/>
      <c r="S24" s="86"/>
    </row>
    <row r="25" spans="1:19" ht="16.5">
      <c r="A25" s="28"/>
      <c r="B25" s="94"/>
      <c r="C25" s="29">
        <f>(C22/2.5)/C24</f>
        <v>0.11628435157846922</v>
      </c>
      <c r="D25" s="19" t="s">
        <v>102</v>
      </c>
      <c r="E25" s="83"/>
      <c r="F25" s="83"/>
      <c r="G25" s="83"/>
      <c r="H25" s="84"/>
      <c r="J25" s="28"/>
      <c r="M25" t="s">
        <v>110</v>
      </c>
      <c r="N25" s="21">
        <f>K20+Q20+Q21</f>
        <v>144.00751432806169</v>
      </c>
      <c r="O25" t="s">
        <v>109</v>
      </c>
      <c r="P25" s="87"/>
      <c r="Q25" s="87"/>
      <c r="R25" s="87"/>
      <c r="S25" s="88"/>
    </row>
    <row r="26" spans="1:19">
      <c r="A26" s="28"/>
      <c r="B26" s="33"/>
      <c r="C26" s="29"/>
      <c r="D26" s="19"/>
      <c r="E26" s="31"/>
      <c r="F26" s="31"/>
      <c r="G26" s="31"/>
      <c r="H26" s="32"/>
      <c r="J26" s="28"/>
      <c r="N26" s="21"/>
      <c r="P26" s="49"/>
      <c r="Q26" s="49"/>
      <c r="R26" s="49"/>
      <c r="S26" s="50"/>
    </row>
    <row r="27" spans="1:19" ht="16.5">
      <c r="A27" s="78" t="s">
        <v>121</v>
      </c>
      <c r="B27" s="79"/>
      <c r="C27" s="79"/>
      <c r="D27" s="79"/>
      <c r="E27" s="79"/>
      <c r="F27" s="79"/>
      <c r="G27" s="79"/>
      <c r="H27" s="80"/>
      <c r="J27" s="28"/>
      <c r="M27" t="s">
        <v>112</v>
      </c>
      <c r="N27" s="21">
        <f>C29*1000</f>
        <v>371</v>
      </c>
      <c r="O27" t="s">
        <v>113</v>
      </c>
      <c r="P27" s="49"/>
      <c r="Q27" s="49"/>
      <c r="R27" s="49"/>
      <c r="S27" s="50"/>
    </row>
    <row r="28" spans="1:19" ht="16.5" customHeight="1">
      <c r="A28" s="28"/>
      <c r="B28" s="94" t="s">
        <v>106</v>
      </c>
      <c r="C28">
        <v>37.1</v>
      </c>
      <c r="D28" t="s">
        <v>107</v>
      </c>
      <c r="E28" s="83" t="s">
        <v>114</v>
      </c>
      <c r="F28" s="83"/>
      <c r="G28" s="83"/>
      <c r="H28" s="84"/>
      <c r="J28" s="28"/>
      <c r="S28" s="22"/>
    </row>
    <row r="29" spans="1:19" ht="16.5">
      <c r="A29" s="24"/>
      <c r="B29" s="95"/>
      <c r="C29" s="35">
        <f>C28/100</f>
        <v>0.371</v>
      </c>
      <c r="D29" s="35" t="s">
        <v>102</v>
      </c>
      <c r="E29" s="92"/>
      <c r="F29" s="92"/>
      <c r="G29" s="92"/>
      <c r="H29" s="93"/>
      <c r="J29" s="24"/>
      <c r="K29" s="44"/>
      <c r="L29" s="44"/>
      <c r="M29" s="44"/>
      <c r="N29" s="45"/>
      <c r="O29" s="44"/>
      <c r="P29" s="44"/>
      <c r="Q29" s="44"/>
      <c r="R29" s="44"/>
      <c r="S29" s="23"/>
    </row>
    <row r="36" spans="21:21">
      <c r="U36" s="21"/>
    </row>
    <row r="37" spans="21:21">
      <c r="U37" s="21"/>
    </row>
  </sheetData>
  <mergeCells count="15">
    <mergeCell ref="E28:H29"/>
    <mergeCell ref="B28:B29"/>
    <mergeCell ref="A3:H3"/>
    <mergeCell ref="F11:F13"/>
    <mergeCell ref="A16:H16"/>
    <mergeCell ref="B20:B21"/>
    <mergeCell ref="B22:B25"/>
    <mergeCell ref="E20:H21"/>
    <mergeCell ref="J3:S3"/>
    <mergeCell ref="E17:H17"/>
    <mergeCell ref="E22:H25"/>
    <mergeCell ref="A27:H27"/>
    <mergeCell ref="P24:S25"/>
    <mergeCell ref="A19:H19"/>
    <mergeCell ref="J23:S23"/>
  </mergeCells>
  <hyperlinks>
    <hyperlink ref="E17" r:id="rId1" xr:uid="{A6825A03-68F2-4E70-BC77-FF60A2C6EAA6}"/>
    <hyperlink ref="E28:E29" r:id="rId2" display="https://www.sigmaaldrich.com/IE/en/product/aldrich/h16752" xr:uid="{4DD0BC13-B89F-4D19-B3C2-819B4710FD43}"/>
    <hyperlink ref="E22:E23" r:id="rId3" display="258148 - Sigma" xr:uid="{0DC67C83-3968-4431-BC3D-093BADDE607B}"/>
    <hyperlink ref="E20:H21" r:id="rId4" display="221473 - Sigma" xr:uid="{F96EBDD4-035E-4E4F-87AC-EAD581A9790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Gaurav Rajauria</cp:lastModifiedBy>
  <cp:revision/>
  <dcterms:created xsi:type="dcterms:W3CDTF">2024-09-29T11:06:24Z</dcterms:created>
  <dcterms:modified xsi:type="dcterms:W3CDTF">2026-02-04T14:02:38Z</dcterms:modified>
  <cp:category/>
  <cp:contentStatus/>
</cp:coreProperties>
</file>